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idharth/Desktop/Exam 6 Canada/CIA IFRS 17 Excel Files/"/>
    </mc:Choice>
  </mc:AlternateContent>
  <xr:revisionPtr revIDLastSave="0" documentId="13_ncr:1_{9B499AAD-ADC1-394B-A156-898906174FFF}" xr6:coauthVersionLast="47" xr6:coauthVersionMax="47" xr10:uidLastSave="{00000000-0000-0000-0000-000000000000}"/>
  <bookViews>
    <workbookView xWindow="14600" yWindow="0" windowWidth="14200" windowHeight="18000" activeTab="1" xr2:uid="{60117EB5-1AA8-C64F-AAD9-11445F9A0DB2}"/>
  </bookViews>
  <sheets>
    <sheet name="GMM FCF Calc" sheetId="2" r:id="rId1"/>
    <sheet name="CSM Amortization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1" l="1"/>
  <c r="L27" i="1"/>
  <c r="M6" i="2"/>
  <c r="J27" i="1"/>
  <c r="I25" i="1"/>
  <c r="I27" i="1" s="1"/>
  <c r="K42" i="2"/>
  <c r="K41" i="2"/>
  <c r="K40" i="2"/>
  <c r="J40" i="2"/>
  <c r="K39" i="2"/>
  <c r="J39" i="2"/>
  <c r="K38" i="2"/>
  <c r="J38" i="2"/>
  <c r="I38" i="2"/>
  <c r="K37" i="2"/>
  <c r="J37" i="2"/>
  <c r="I37" i="2"/>
  <c r="K36" i="2"/>
  <c r="J36" i="2"/>
  <c r="I36" i="2"/>
  <c r="H36" i="2"/>
  <c r="K35" i="2"/>
  <c r="J35" i="2"/>
  <c r="I35" i="2"/>
  <c r="H35" i="2"/>
  <c r="K34" i="2"/>
  <c r="J34" i="2"/>
  <c r="I34" i="2"/>
  <c r="H34" i="2"/>
  <c r="G34" i="2"/>
  <c r="K33" i="2"/>
  <c r="J33" i="2"/>
  <c r="I33" i="2"/>
  <c r="H33" i="2"/>
  <c r="G33" i="2"/>
  <c r="K32" i="2"/>
  <c r="J32" i="2"/>
  <c r="I32" i="2"/>
  <c r="H32" i="2"/>
  <c r="G32" i="2"/>
  <c r="F32" i="2"/>
  <c r="K31" i="2"/>
  <c r="J31" i="2"/>
  <c r="L31" i="2" s="1"/>
  <c r="I31" i="2"/>
  <c r="H31" i="2"/>
  <c r="G31" i="2"/>
  <c r="F31" i="2"/>
  <c r="L32" i="2"/>
  <c r="K28" i="2"/>
  <c r="K27" i="2"/>
  <c r="J28" i="2"/>
  <c r="J27" i="2"/>
  <c r="I28" i="2"/>
  <c r="I27" i="2"/>
  <c r="H28" i="2"/>
  <c r="H27" i="2"/>
  <c r="G28" i="2"/>
  <c r="G27" i="2"/>
  <c r="F28" i="2"/>
  <c r="F27" i="2"/>
  <c r="D28" i="2"/>
  <c r="D27" i="2"/>
  <c r="E28" i="2"/>
  <c r="E27" i="2"/>
  <c r="K30" i="2"/>
  <c r="K29" i="2"/>
  <c r="J30" i="2"/>
  <c r="J29" i="2"/>
  <c r="I30" i="2"/>
  <c r="I29" i="2"/>
  <c r="H30" i="2"/>
  <c r="H29" i="2"/>
  <c r="G30" i="2"/>
  <c r="G29" i="2"/>
  <c r="F30" i="2"/>
  <c r="F29" i="2"/>
  <c r="E30" i="2"/>
  <c r="E29" i="2"/>
  <c r="L44" i="2"/>
  <c r="L43" i="2"/>
  <c r="L22" i="2" s="1"/>
  <c r="K20" i="2"/>
  <c r="K21" i="2" s="1"/>
  <c r="K18" i="2"/>
  <c r="K19" i="2" s="1"/>
  <c r="J18" i="2"/>
  <c r="J19" i="2" s="1"/>
  <c r="K16" i="2"/>
  <c r="K17" i="2" s="1"/>
  <c r="J16" i="2"/>
  <c r="J17" i="2" s="1"/>
  <c r="I16" i="2"/>
  <c r="I17" i="2" s="1"/>
  <c r="K14" i="2"/>
  <c r="K15" i="2" s="1"/>
  <c r="J14" i="2"/>
  <c r="J15" i="2" s="1"/>
  <c r="I14" i="2"/>
  <c r="I15" i="2" s="1"/>
  <c r="H14" i="2"/>
  <c r="H15" i="2" s="1"/>
  <c r="H13" i="2"/>
  <c r="G13" i="2"/>
  <c r="K12" i="2"/>
  <c r="K13" i="2" s="1"/>
  <c r="J12" i="2"/>
  <c r="J13" i="2" s="1"/>
  <c r="I12" i="2"/>
  <c r="H12" i="2"/>
  <c r="G12" i="2"/>
  <c r="I11" i="2"/>
  <c r="H11" i="2"/>
  <c r="G11" i="2"/>
  <c r="F11" i="2"/>
  <c r="K10" i="2"/>
  <c r="K11" i="2" s="1"/>
  <c r="J10" i="2"/>
  <c r="J11" i="2" s="1"/>
  <c r="I10" i="2"/>
  <c r="H10" i="2"/>
  <c r="G10" i="2"/>
  <c r="F10" i="2"/>
  <c r="H9" i="2"/>
  <c r="G9" i="2"/>
  <c r="F9" i="2"/>
  <c r="K8" i="2"/>
  <c r="K9" i="2" s="1"/>
  <c r="J8" i="2"/>
  <c r="J9" i="2" s="1"/>
  <c r="I8" i="2"/>
  <c r="I9" i="2" s="1"/>
  <c r="H8" i="2"/>
  <c r="G8" i="2"/>
  <c r="F8" i="2"/>
  <c r="E8" i="2"/>
  <c r="F4" i="2"/>
  <c r="G4" i="2" s="1"/>
  <c r="H4" i="2" s="1"/>
  <c r="I4" i="2" s="1"/>
  <c r="J4" i="2" s="1"/>
  <c r="K4" i="2" s="1"/>
  <c r="E4" i="2"/>
  <c r="K6" i="2"/>
  <c r="K7" i="2" s="1"/>
  <c r="J6" i="2"/>
  <c r="J7" i="2" s="1"/>
  <c r="I6" i="2"/>
  <c r="I7" i="2" s="1"/>
  <c r="H6" i="2"/>
  <c r="H7" i="2" s="1"/>
  <c r="G6" i="2"/>
  <c r="G7" i="2" s="1"/>
  <c r="F6" i="2"/>
  <c r="F7" i="2" s="1"/>
  <c r="E6" i="2"/>
  <c r="E7" i="2" s="1"/>
  <c r="D6" i="2"/>
  <c r="D7" i="2" s="1"/>
  <c r="C41" i="1"/>
  <c r="D41" i="1" s="1"/>
  <c r="E41" i="1" s="1"/>
  <c r="C39" i="1"/>
  <c r="D37" i="1" s="1"/>
  <c r="E37" i="1" s="1"/>
  <c r="C37" i="1"/>
  <c r="C35" i="1"/>
  <c r="C33" i="1"/>
  <c r="C31" i="1"/>
  <c r="C29" i="1"/>
  <c r="C27" i="1"/>
  <c r="C20" i="1"/>
  <c r="D20" i="1" s="1"/>
  <c r="C18" i="1"/>
  <c r="D18" i="1" s="1"/>
  <c r="C16" i="1"/>
  <c r="C14" i="1"/>
  <c r="C12" i="1"/>
  <c r="C10" i="1"/>
  <c r="C8" i="1"/>
  <c r="C6" i="1"/>
  <c r="D6" i="1" l="1"/>
  <c r="E6" i="1" s="1"/>
  <c r="K6" i="1" s="1"/>
  <c r="L6" i="1" s="1"/>
  <c r="I8" i="1" s="1"/>
  <c r="D14" i="1"/>
  <c r="D16" i="1"/>
  <c r="D12" i="1"/>
  <c r="E12" i="1" s="1"/>
  <c r="D8" i="1"/>
  <c r="E8" i="1" s="1"/>
  <c r="D39" i="1"/>
  <c r="E39" i="1" s="1"/>
  <c r="D10" i="1"/>
  <c r="E10" i="1" s="1"/>
  <c r="D31" i="1"/>
  <c r="E31" i="1" s="1"/>
  <c r="D33" i="1"/>
  <c r="E33" i="1" s="1"/>
  <c r="D35" i="1"/>
  <c r="E35" i="1" s="1"/>
  <c r="D29" i="1"/>
  <c r="E29" i="1" s="1"/>
  <c r="L34" i="2"/>
  <c r="L36" i="2"/>
  <c r="I13" i="2"/>
  <c r="E9" i="2"/>
  <c r="L29" i="2"/>
  <c r="L39" i="2"/>
  <c r="L28" i="2"/>
  <c r="L27" i="2"/>
  <c r="L42" i="2"/>
  <c r="L41" i="2"/>
  <c r="L20" i="2" s="1"/>
  <c r="L40" i="2"/>
  <c r="L38" i="2"/>
  <c r="L37" i="2"/>
  <c r="L16" i="2" s="1"/>
  <c r="L30" i="2"/>
  <c r="D27" i="1"/>
  <c r="E27" i="1" s="1"/>
  <c r="E20" i="1"/>
  <c r="E14" i="1"/>
  <c r="E16" i="1"/>
  <c r="E18" i="1"/>
  <c r="K8" i="1" l="1"/>
  <c r="L8" i="1" s="1"/>
  <c r="I10" i="1" s="1"/>
  <c r="K10" i="1" s="1"/>
  <c r="L10" i="1" s="1"/>
  <c r="I12" i="1" s="1"/>
  <c r="K12" i="1" s="1"/>
  <c r="L12" i="1" s="1"/>
  <c r="I14" i="1" s="1"/>
  <c r="K14" i="1" s="1"/>
  <c r="L14" i="1" s="1"/>
  <c r="I16" i="1" s="1"/>
  <c r="K16" i="1" s="1"/>
  <c r="L16" i="1" s="1"/>
  <c r="I18" i="1" s="1"/>
  <c r="K18" i="1" s="1"/>
  <c r="L18" i="1" s="1"/>
  <c r="I20" i="1" s="1"/>
  <c r="K20" i="1" s="1"/>
  <c r="L20" i="1" s="1"/>
  <c r="L8" i="2"/>
  <c r="L6" i="2"/>
  <c r="I29" i="1" s="1"/>
  <c r="L18" i="2"/>
  <c r="L33" i="2"/>
  <c r="L12" i="2" s="1"/>
  <c r="L35" i="2"/>
  <c r="L14" i="2" s="1"/>
  <c r="J29" i="1" l="1"/>
  <c r="L29" i="1" s="1"/>
  <c r="M29" i="1" s="1"/>
  <c r="M8" i="2"/>
  <c r="I31" i="1" l="1"/>
  <c r="M10" i="2"/>
  <c r="J31" i="1" l="1"/>
  <c r="L31" i="1" s="1"/>
  <c r="M31" i="1" s="1"/>
  <c r="M12" i="2" s="1"/>
  <c r="I33" i="1" l="1"/>
  <c r="J33" i="1" l="1"/>
  <c r="L33" i="1" s="1"/>
  <c r="M33" i="1" s="1"/>
  <c r="M14" i="2" l="1"/>
  <c r="I35" i="1"/>
  <c r="J35" i="1" s="1"/>
  <c r="L35" i="1" s="1"/>
  <c r="M35" i="1" s="1"/>
  <c r="I37" i="1" l="1"/>
  <c r="M16" i="2"/>
  <c r="J37" i="1" l="1"/>
  <c r="L37" i="1" s="1"/>
  <c r="M37" i="1" s="1"/>
  <c r="L10" i="2"/>
  <c r="M18" i="2" l="1"/>
  <c r="I39" i="1"/>
  <c r="J39" i="1" l="1"/>
  <c r="L39" i="1" s="1"/>
  <c r="M39" i="1" s="1"/>
  <c r="I41" i="1" l="1"/>
  <c r="M20" i="2"/>
  <c r="J41" i="1" l="1"/>
  <c r="L41" i="1" s="1"/>
  <c r="M41" i="1" l="1"/>
  <c r="M22" i="2" s="1"/>
</calcChain>
</file>

<file path=xl/sharedStrings.xml><?xml version="1.0" encoding="utf-8"?>
<sst xmlns="http://schemas.openxmlformats.org/spreadsheetml/2006/main" count="120" uniqueCount="46">
  <si>
    <t>covrage unit calcualtion with a 0% discount rate</t>
  </si>
  <si>
    <t>end Q1/1</t>
  </si>
  <si>
    <t>undsicounted coverage</t>
  </si>
  <si>
    <t>discounted coverage</t>
  </si>
  <si>
    <t>remaining coverage</t>
  </si>
  <si>
    <t>amortization factor</t>
  </si>
  <si>
    <t>end Q2/1</t>
  </si>
  <si>
    <t>end Q3/1</t>
  </si>
  <si>
    <t>end Q4/1</t>
  </si>
  <si>
    <t>end Q1/2</t>
  </si>
  <si>
    <t>end Q2/2</t>
  </si>
  <si>
    <t>end Q3/2</t>
  </si>
  <si>
    <t>emd Q4/2</t>
  </si>
  <si>
    <t>as of Q1/1</t>
  </si>
  <si>
    <t>as of each subs rep per</t>
  </si>
  <si>
    <t>end Q4/2</t>
  </si>
  <si>
    <t>as at each sub qtr period</t>
  </si>
  <si>
    <t>starting period csm</t>
  </si>
  <si>
    <t>amortized csm</t>
  </si>
  <si>
    <t>ending csm</t>
  </si>
  <si>
    <t>Time 0</t>
  </si>
  <si>
    <t>Expected cash flows</t>
  </si>
  <si>
    <t>Q1/1</t>
  </si>
  <si>
    <t>Q2/1</t>
  </si>
  <si>
    <t>Q3/1</t>
  </si>
  <si>
    <t>Q4/1</t>
  </si>
  <si>
    <t>Q1/2</t>
  </si>
  <si>
    <t>Q2/2</t>
  </si>
  <si>
    <t>Q3/2</t>
  </si>
  <si>
    <t>Q4/2</t>
  </si>
  <si>
    <t>FCF</t>
  </si>
  <si>
    <t>Prem inflw</t>
  </si>
  <si>
    <t>Cl+exp outflow</t>
  </si>
  <si>
    <t>Liability</t>
  </si>
  <si>
    <t>LR</t>
  </si>
  <si>
    <t>DR</t>
  </si>
  <si>
    <t>prem</t>
  </si>
  <si>
    <t>beginning of period</t>
  </si>
  <si>
    <t>claim</t>
  </si>
  <si>
    <t>mid of period</t>
  </si>
  <si>
    <t>Sum</t>
  </si>
  <si>
    <t>Example B1b</t>
  </si>
  <si>
    <t>CSM</t>
  </si>
  <si>
    <t>interest accretion</t>
  </si>
  <si>
    <t>changes related to future serv</t>
  </si>
  <si>
    <t>&lt;-- max applied so that profit does not become less than zero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</si>
</sst>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9" fontId="0" fillId="0" borderId="0" xfId="0" applyNumberFormat="1"/>
    <xf numFmtId="10" fontId="0" fillId="0" borderId="0" xfId="2" applyNumberFormat="1" applyFont="1"/>
    <xf numFmtId="43" fontId="0" fillId="0" borderId="0" xfId="1" applyFont="1"/>
    <xf numFmtId="43" fontId="0" fillId="0" borderId="0" xfId="1" applyNumberFormat="1" applyFont="1"/>
    <xf numFmtId="43" fontId="0" fillId="0" borderId="0" xfId="0" applyNumberFormat="1"/>
    <xf numFmtId="2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3C790-5176-CC46-8BF7-6AC8F6C8183D}">
  <dimension ref="A1:N44"/>
  <sheetViews>
    <sheetView topLeftCell="C1" zoomScale="70" zoomScaleNormal="70" workbookViewId="0">
      <selection activeCell="M8" sqref="M8"/>
    </sheetView>
  </sheetViews>
  <sheetFormatPr baseColWidth="10" defaultRowHeight="16" x14ac:dyDescent="0.2"/>
  <cols>
    <col min="3" max="3" width="13.1640625" bestFit="1" customWidth="1"/>
    <col min="12" max="12" width="14.6640625" bestFit="1" customWidth="1"/>
  </cols>
  <sheetData>
    <row r="1" spans="2:13" x14ac:dyDescent="0.2">
      <c r="B1" t="s">
        <v>41</v>
      </c>
      <c r="D1" t="s">
        <v>33</v>
      </c>
      <c r="F1" t="s">
        <v>34</v>
      </c>
      <c r="G1" s="1">
        <v>0.8</v>
      </c>
      <c r="I1" t="s">
        <v>36</v>
      </c>
      <c r="J1" t="s">
        <v>37</v>
      </c>
    </row>
    <row r="2" spans="2:13" x14ac:dyDescent="0.2">
      <c r="D2" t="s">
        <v>21</v>
      </c>
      <c r="F2" t="s">
        <v>35</v>
      </c>
      <c r="G2" s="1">
        <v>0.05</v>
      </c>
      <c r="I2" t="s">
        <v>38</v>
      </c>
      <c r="J2" t="s">
        <v>39</v>
      </c>
    </row>
    <row r="4" spans="2:13" x14ac:dyDescent="0.2">
      <c r="D4">
        <v>0</v>
      </c>
      <c r="E4">
        <f>D4+0.25</f>
        <v>0.25</v>
      </c>
      <c r="F4">
        <f t="shared" ref="F4:K4" si="0">E4+0.25</f>
        <v>0.5</v>
      </c>
      <c r="G4">
        <f t="shared" si="0"/>
        <v>0.75</v>
      </c>
      <c r="H4">
        <f t="shared" si="0"/>
        <v>1</v>
      </c>
      <c r="I4">
        <f t="shared" si="0"/>
        <v>1.25</v>
      </c>
      <c r="J4">
        <f t="shared" si="0"/>
        <v>1.5</v>
      </c>
      <c r="K4">
        <f t="shared" si="0"/>
        <v>1.75</v>
      </c>
    </row>
    <row r="5" spans="2:13" x14ac:dyDescent="0.2">
      <c r="D5" t="s">
        <v>22</v>
      </c>
      <c r="E5" t="s">
        <v>23</v>
      </c>
      <c r="F5" t="s">
        <v>24</v>
      </c>
      <c r="G5" t="s">
        <v>25</v>
      </c>
      <c r="H5" t="s">
        <v>26</v>
      </c>
      <c r="I5" t="s">
        <v>27</v>
      </c>
      <c r="J5" t="s">
        <v>28</v>
      </c>
      <c r="K5" t="s">
        <v>29</v>
      </c>
      <c r="L5" t="s">
        <v>30</v>
      </c>
      <c r="M5" t="s">
        <v>42</v>
      </c>
    </row>
    <row r="6" spans="2:13" x14ac:dyDescent="0.2">
      <c r="B6" t="s">
        <v>20</v>
      </c>
      <c r="C6" t="s">
        <v>31</v>
      </c>
      <c r="D6">
        <f>-100</f>
        <v>-100</v>
      </c>
      <c r="E6">
        <f>-100</f>
        <v>-100</v>
      </c>
      <c r="F6">
        <f>-100</f>
        <v>-100</v>
      </c>
      <c r="G6">
        <f>-100</f>
        <v>-100</v>
      </c>
      <c r="H6">
        <f>-100</f>
        <v>-100</v>
      </c>
      <c r="I6">
        <f>-100</f>
        <v>-100</v>
      </c>
      <c r="J6">
        <f>-100</f>
        <v>-100</v>
      </c>
      <c r="K6">
        <f>-100</f>
        <v>-100</v>
      </c>
      <c r="L6" s="5">
        <f>SUM(L27:L28)</f>
        <v>-157.10317238948221</v>
      </c>
      <c r="M6" s="5">
        <f>-L6</f>
        <v>157.10317238948221</v>
      </c>
    </row>
    <row r="7" spans="2:13" x14ac:dyDescent="0.2">
      <c r="C7" t="s">
        <v>32</v>
      </c>
      <c r="D7">
        <f>-D6*$G$1</f>
        <v>80</v>
      </c>
      <c r="E7">
        <f>-E6*$G$1</f>
        <v>80</v>
      </c>
      <c r="F7">
        <f>-F6*$G$1</f>
        <v>80</v>
      </c>
      <c r="G7">
        <f>-G6*$G$1</f>
        <v>80</v>
      </c>
      <c r="H7">
        <f>-H6*$G$1</f>
        <v>80</v>
      </c>
      <c r="I7">
        <f>-I6*$G$1</f>
        <v>80</v>
      </c>
      <c r="J7">
        <f>-J6*$G$1</f>
        <v>80</v>
      </c>
      <c r="K7">
        <f>-K6*$G$1</f>
        <v>80</v>
      </c>
    </row>
    <row r="8" spans="2:13" x14ac:dyDescent="0.2">
      <c r="B8" t="s">
        <v>1</v>
      </c>
      <c r="C8" t="s">
        <v>31</v>
      </c>
      <c r="E8">
        <f>-100</f>
        <v>-100</v>
      </c>
      <c r="F8">
        <f>-100</f>
        <v>-100</v>
      </c>
      <c r="G8">
        <f>-100</f>
        <v>-100</v>
      </c>
      <c r="H8">
        <f>-100</f>
        <v>-100</v>
      </c>
      <c r="I8">
        <f>-100</f>
        <v>-100</v>
      </c>
      <c r="J8">
        <f>-100</f>
        <v>-100</v>
      </c>
      <c r="K8">
        <f>-100</f>
        <v>-100</v>
      </c>
      <c r="L8" s="5">
        <f>SUM(L29:L30)</f>
        <v>-138.29334837865792</v>
      </c>
      <c r="M8" s="5">
        <f>'CSM Amortization'!M27</f>
        <v>136.36067531711495</v>
      </c>
    </row>
    <row r="9" spans="2:13" x14ac:dyDescent="0.2">
      <c r="C9" t="s">
        <v>32</v>
      </c>
      <c r="E9">
        <f>-E8*$G$1</f>
        <v>80</v>
      </c>
      <c r="F9">
        <f>-F8*$G$1</f>
        <v>80</v>
      </c>
      <c r="G9">
        <f>-G8*$G$1</f>
        <v>80</v>
      </c>
      <c r="H9">
        <f>-H8*$G$1</f>
        <v>80</v>
      </c>
      <c r="I9">
        <f>-I8*$G$1</f>
        <v>80</v>
      </c>
      <c r="J9">
        <f>-J8*$G$1</f>
        <v>80</v>
      </c>
      <c r="K9">
        <f>-K8*$G$1</f>
        <v>80</v>
      </c>
    </row>
    <row r="10" spans="2:13" x14ac:dyDescent="0.2">
      <c r="B10" t="s">
        <v>6</v>
      </c>
      <c r="C10" t="s">
        <v>31</v>
      </c>
      <c r="F10">
        <f>-100</f>
        <v>-100</v>
      </c>
      <c r="G10">
        <f>-100</f>
        <v>-100</v>
      </c>
      <c r="H10">
        <f>-100</f>
        <v>-100</v>
      </c>
      <c r="I10">
        <f>-100</f>
        <v>-100</v>
      </c>
      <c r="J10">
        <f>-100</f>
        <v>-100</v>
      </c>
      <c r="K10">
        <f>-100</f>
        <v>-100</v>
      </c>
      <c r="L10" s="5">
        <f>SUM(L31:L32)</f>
        <v>-119.25268579800377</v>
      </c>
      <c r="M10" s="5">
        <f>'CSM Amortization'!M29</f>
        <v>115.90805816877074</v>
      </c>
    </row>
    <row r="11" spans="2:13" x14ac:dyDescent="0.2">
      <c r="C11" t="s">
        <v>32</v>
      </c>
      <c r="F11">
        <f>-F10*$G$1</f>
        <v>80</v>
      </c>
      <c r="G11">
        <f>-G10*$G$1</f>
        <v>80</v>
      </c>
      <c r="H11">
        <f>-H10*$G$1</f>
        <v>80</v>
      </c>
      <c r="I11">
        <f>-I10*$G$1</f>
        <v>80</v>
      </c>
      <c r="J11">
        <f>-J10*$G$1</f>
        <v>80</v>
      </c>
      <c r="K11">
        <f>-K10*$G$1</f>
        <v>80</v>
      </c>
    </row>
    <row r="12" spans="2:13" x14ac:dyDescent="0.2">
      <c r="B12" t="s">
        <v>7</v>
      </c>
      <c r="C12" t="s">
        <v>31</v>
      </c>
      <c r="G12">
        <f>-100</f>
        <v>-100</v>
      </c>
      <c r="H12">
        <f>-100</f>
        <v>-100</v>
      </c>
      <c r="I12">
        <f>-100</f>
        <v>-100</v>
      </c>
      <c r="J12">
        <f>-100</f>
        <v>-100</v>
      </c>
      <c r="K12">
        <f>-100</f>
        <v>-100</v>
      </c>
      <c r="L12" s="5">
        <f>SUM(L33:L34)</f>
        <v>-99.978351742475581</v>
      </c>
      <c r="M12" s="5">
        <f>'CSM Amortization'!M31</f>
        <v>95.747316788891908</v>
      </c>
    </row>
    <row r="13" spans="2:13" x14ac:dyDescent="0.2">
      <c r="C13" t="s">
        <v>32</v>
      </c>
      <c r="G13">
        <f>-G12*$G$1</f>
        <v>80</v>
      </c>
      <c r="H13">
        <f>-H12*$G$1</f>
        <v>80</v>
      </c>
      <c r="I13">
        <f>-I12*$G$1</f>
        <v>80</v>
      </c>
      <c r="J13">
        <f>-J12*$G$1</f>
        <v>80</v>
      </c>
      <c r="K13">
        <f>-K12*$G$1</f>
        <v>80</v>
      </c>
    </row>
    <row r="14" spans="2:13" x14ac:dyDescent="0.2">
      <c r="B14" t="s">
        <v>8</v>
      </c>
      <c r="C14" t="s">
        <v>31</v>
      </c>
      <c r="H14">
        <f>-100</f>
        <v>-100</v>
      </c>
      <c r="I14">
        <f>-100</f>
        <v>-100</v>
      </c>
      <c r="J14">
        <f>-100</f>
        <v>-100</v>
      </c>
      <c r="K14">
        <f>-100</f>
        <v>-100</v>
      </c>
      <c r="L14" s="5">
        <f>SUM(L35:L36)</f>
        <v>-80.467478540954346</v>
      </c>
      <c r="M14" s="5">
        <f>'CSM Amortization'!M33</f>
        <v>75.882632048976873</v>
      </c>
    </row>
    <row r="15" spans="2:13" x14ac:dyDescent="0.2">
      <c r="C15" t="s">
        <v>32</v>
      </c>
      <c r="H15">
        <f>-H14*$G$1</f>
        <v>80</v>
      </c>
      <c r="I15">
        <f>-I14*$G$1</f>
        <v>80</v>
      </c>
      <c r="J15">
        <f>-J14*$G$1</f>
        <v>80</v>
      </c>
      <c r="K15">
        <f>-K14*$G$1</f>
        <v>80</v>
      </c>
    </row>
    <row r="16" spans="2:13" x14ac:dyDescent="0.2">
      <c r="B16" t="s">
        <v>9</v>
      </c>
      <c r="C16" t="s">
        <v>31</v>
      </c>
      <c r="I16">
        <f>-100</f>
        <v>-100</v>
      </c>
      <c r="J16">
        <f>-100</f>
        <v>-100</v>
      </c>
      <c r="K16">
        <f>-100</f>
        <v>-100</v>
      </c>
      <c r="L16" s="5">
        <f>SUM(L37:L38)</f>
        <v>-60.717163329588772</v>
      </c>
      <c r="M16" s="5">
        <f>'CSM Amortization'!M35</f>
        <v>56.321993370354271</v>
      </c>
    </row>
    <row r="17" spans="1:14" x14ac:dyDescent="0.2">
      <c r="C17" t="s">
        <v>32</v>
      </c>
      <c r="I17">
        <f>-I16*$G$1</f>
        <v>80</v>
      </c>
      <c r="J17">
        <f>-J16*$G$1</f>
        <v>80</v>
      </c>
      <c r="K17">
        <f>-K16*$G$1</f>
        <v>80</v>
      </c>
    </row>
    <row r="18" spans="1:14" x14ac:dyDescent="0.2">
      <c r="B18" t="s">
        <v>10</v>
      </c>
      <c r="C18" t="s">
        <v>31</v>
      </c>
      <c r="J18">
        <f>-100</f>
        <v>-100</v>
      </c>
      <c r="K18">
        <f>-100</f>
        <v>-100</v>
      </c>
      <c r="L18" s="5">
        <f>SUM(L39:L40)</f>
        <v>-40.724467619901901</v>
      </c>
      <c r="M18" s="5">
        <f>'CSM Amortization'!M37</f>
        <v>37.080995956610721</v>
      </c>
    </row>
    <row r="19" spans="1:14" x14ac:dyDescent="0.2">
      <c r="C19" t="s">
        <v>32</v>
      </c>
      <c r="J19">
        <f>-J18*$G$1</f>
        <v>80</v>
      </c>
      <c r="K19">
        <f>-K18*$G$1</f>
        <v>80</v>
      </c>
    </row>
    <row r="20" spans="1:14" x14ac:dyDescent="0.2">
      <c r="B20" t="s">
        <v>11</v>
      </c>
      <c r="C20" t="s">
        <v>31</v>
      </c>
      <c r="K20">
        <f>-100</f>
        <v>-100</v>
      </c>
      <c r="L20" s="5">
        <f>SUM(L41:L42)</f>
        <v>-20.48641686159732</v>
      </c>
      <c r="M20" s="5">
        <f>'CSM Amortization'!M39</f>
        <v>18.194255502462259</v>
      </c>
    </row>
    <row r="21" spans="1:14" x14ac:dyDescent="0.2">
      <c r="C21" t="s">
        <v>32</v>
      </c>
      <c r="K21">
        <f>-K20*$G$1</f>
        <v>80</v>
      </c>
    </row>
    <row r="22" spans="1:14" x14ac:dyDescent="0.2">
      <c r="B22" t="s">
        <v>15</v>
      </c>
      <c r="C22" t="s">
        <v>31</v>
      </c>
      <c r="L22" s="5">
        <f>SUM(L43:L44)</f>
        <v>0</v>
      </c>
      <c r="M22" s="5">
        <f>'CSM Amortization'!M41</f>
        <v>0</v>
      </c>
    </row>
    <row r="23" spans="1:14" x14ac:dyDescent="0.2">
      <c r="C23" t="s">
        <v>32</v>
      </c>
    </row>
    <row r="26" spans="1:14" x14ac:dyDescent="0.2">
      <c r="D26" t="s">
        <v>22</v>
      </c>
      <c r="E26" t="s">
        <v>23</v>
      </c>
      <c r="F26" t="s">
        <v>24</v>
      </c>
      <c r="G26" t="s">
        <v>25</v>
      </c>
      <c r="H26" t="s">
        <v>26</v>
      </c>
      <c r="I26" t="s">
        <v>27</v>
      </c>
      <c r="J26" t="s">
        <v>28</v>
      </c>
      <c r="K26" t="s">
        <v>29</v>
      </c>
      <c r="L26" t="s">
        <v>40</v>
      </c>
    </row>
    <row r="27" spans="1:14" x14ac:dyDescent="0.2">
      <c r="A27">
        <v>0</v>
      </c>
      <c r="B27" t="s">
        <v>20</v>
      </c>
      <c r="C27" t="s">
        <v>31</v>
      </c>
      <c r="D27" s="3">
        <f>D6/(1+$G$2)^(D$4-$A27)</f>
        <v>-100</v>
      </c>
      <c r="E27" s="3">
        <f>E6/(1+$G$2)^(E$4-$A27)</f>
        <v>-98.787654742307396</v>
      </c>
      <c r="F27" s="3">
        <f>F6/(1+$G$2)^(F$4-$A27)</f>
        <v>-97.590007294853308</v>
      </c>
      <c r="G27" s="3">
        <f>G6/(1+$G$2)^(G$4-$A27)</f>
        <v>-96.406879469432312</v>
      </c>
      <c r="H27" s="3">
        <f>H6/(1+$G$2)^(H$4-$A27)</f>
        <v>-95.238095238095241</v>
      </c>
      <c r="I27" s="3">
        <f>I6/(1+$G$2)^(I$4-$A27)</f>
        <v>-94.083480706959435</v>
      </c>
      <c r="J27" s="3">
        <f>J6/(1+$G$2)^(J$4-$A27)</f>
        <v>-92.942864090336485</v>
      </c>
      <c r="K27" s="3">
        <f>K6/(1+$G$2)^(K$4-$A27)</f>
        <v>-91.816075685173629</v>
      </c>
      <c r="L27" s="5">
        <f>SUM(D27:K27)</f>
        <v>-766.86505722715765</v>
      </c>
      <c r="N27" s="5"/>
    </row>
    <row r="28" spans="1:14" x14ac:dyDescent="0.2">
      <c r="C28" t="s">
        <v>32</v>
      </c>
      <c r="D28" s="4">
        <f>D7/(1+$G$2)^(D$4-$A27+(0.25/2))</f>
        <v>79.51358313840268</v>
      </c>
      <c r="E28" s="4">
        <f>E7/(1+$G$2)^(E$4-$A27+(0.25/2))</f>
        <v>78.5496039840028</v>
      </c>
      <c r="F28" s="4">
        <f>F7/(1+$G$2)^(F$4-$A27+(0.25/2))</f>
        <v>77.597311585166437</v>
      </c>
      <c r="G28" s="4">
        <f>G7/(1+$G$2)^(G$4-$A27+(0.25/2))</f>
        <v>76.656564258066709</v>
      </c>
      <c r="H28" s="4">
        <f>H7/(1+$G$2)^(H$4-$A27+(0.25/2))</f>
        <v>75.727222036573977</v>
      </c>
      <c r="I28" s="4">
        <f>I7/(1+$G$2)^(I$4-$A27+(0.25/2))</f>
        <v>74.80914665143122</v>
      </c>
      <c r="J28" s="4">
        <f>J7/(1+$G$2)^(J$4-$A27+(0.25/2))</f>
        <v>73.902201509682314</v>
      </c>
      <c r="K28" s="4">
        <f>K7/(1+$G$2)^(K$4-$A27+(0.25/2))</f>
        <v>73.006251674349258</v>
      </c>
      <c r="L28" s="5">
        <f>SUM(D28:K28)</f>
        <v>609.76188483767544</v>
      </c>
    </row>
    <row r="29" spans="1:14" x14ac:dyDescent="0.2">
      <c r="A29">
        <v>0.25</v>
      </c>
      <c r="B29" t="s">
        <v>1</v>
      </c>
      <c r="C29" t="s">
        <v>31</v>
      </c>
      <c r="D29" s="3"/>
      <c r="E29" s="3">
        <f>E8/(1+$G$2)^(E$4-$A29)</f>
        <v>-100</v>
      </c>
      <c r="F29" s="3">
        <f>F8/(1+$G$2)^(F$4-$A29)</f>
        <v>-98.787654742307396</v>
      </c>
      <c r="G29" s="3">
        <f>G8/(1+$G$2)^(G$4-$A29)</f>
        <v>-97.590007294853308</v>
      </c>
      <c r="H29" s="3">
        <f>H8/(1+$G$2)^(H$4-$A29)</f>
        <v>-96.406879469432312</v>
      </c>
      <c r="I29" s="3">
        <f>I8/(1+$G$2)^(I$4-$A29)</f>
        <v>-95.238095238095241</v>
      </c>
      <c r="J29" s="3">
        <f>J8/(1+$G$2)^(J$4-$A29)</f>
        <v>-94.083480706959435</v>
      </c>
      <c r="K29" s="3">
        <f>K8/(1+$G$2)^(K$4-$A29)</f>
        <v>-92.942864090336485</v>
      </c>
      <c r="L29" s="5">
        <f>SUM(D29:K29)</f>
        <v>-675.04898154198406</v>
      </c>
    </row>
    <row r="30" spans="1:14" x14ac:dyDescent="0.2">
      <c r="C30" t="s">
        <v>32</v>
      </c>
      <c r="D30" s="4"/>
      <c r="E30" s="4">
        <f>E9/(1+$G$2)^(E$4-$A29+(0.25/2))</f>
        <v>79.51358313840268</v>
      </c>
      <c r="F30" s="4">
        <f>F9/(1+$G$2)^(F$4-$A29+(0.25/2))</f>
        <v>78.5496039840028</v>
      </c>
      <c r="G30" s="4">
        <f>G9/(1+$G$2)^(G$4-$A29+(0.25/2))</f>
        <v>77.597311585166437</v>
      </c>
      <c r="H30" s="4">
        <f>H9/(1+$G$2)^(H$4-$A29+(0.25/2))</f>
        <v>76.656564258066709</v>
      </c>
      <c r="I30" s="4">
        <f>I9/(1+$G$2)^(I$4-$A29+(0.25/2))</f>
        <v>75.727222036573977</v>
      </c>
      <c r="J30" s="4">
        <f>J9/(1+$G$2)^(J$4-$A29+(0.25/2))</f>
        <v>74.80914665143122</v>
      </c>
      <c r="K30" s="4">
        <f>K9/(1+$G$2)^(K$4-$A29+(0.25/2))</f>
        <v>73.902201509682314</v>
      </c>
      <c r="L30" s="5">
        <f>SUM(D30:K30)</f>
        <v>536.75563316332614</v>
      </c>
    </row>
    <row r="31" spans="1:14" x14ac:dyDescent="0.2">
      <c r="A31">
        <v>0.5</v>
      </c>
      <c r="B31" t="s">
        <v>6</v>
      </c>
      <c r="C31" t="s">
        <v>31</v>
      </c>
      <c r="D31" s="3"/>
      <c r="E31" s="3"/>
      <c r="F31" s="3">
        <f>F10/(1+$G$2)^(F$4-$A31)</f>
        <v>-100</v>
      </c>
      <c r="G31" s="3">
        <f>G10/(1+$G$2)^(G$4-$A31)</f>
        <v>-98.787654742307396</v>
      </c>
      <c r="H31" s="3">
        <f>H10/(1+$G$2)^(H$4-$A31)</f>
        <v>-97.590007294853308</v>
      </c>
      <c r="I31" s="3">
        <f>I10/(1+$G$2)^(I$4-$A31)</f>
        <v>-96.406879469432312</v>
      </c>
      <c r="J31" s="3">
        <f>J10/(1+$G$2)^(J$4-$A31)</f>
        <v>-95.238095238095241</v>
      </c>
      <c r="K31" s="3">
        <f>K10/(1+$G$2)^(K$4-$A31)</f>
        <v>-94.083480706959435</v>
      </c>
      <c r="L31" s="5">
        <f>SUM(D31:K31)</f>
        <v>-582.10611745164761</v>
      </c>
    </row>
    <row r="32" spans="1:14" x14ac:dyDescent="0.2">
      <c r="C32" t="s">
        <v>32</v>
      </c>
      <c r="D32" s="4"/>
      <c r="E32" s="4"/>
      <c r="F32" s="4">
        <f>F11/(1+$G$2)^(F$4-$A31+(0.25/2))</f>
        <v>79.51358313840268</v>
      </c>
      <c r="G32" s="4">
        <f>G11/(1+$G$2)^(G$4-$A31+(0.25/2))</f>
        <v>78.5496039840028</v>
      </c>
      <c r="H32" s="4">
        <f>H11/(1+$G$2)^(H$4-$A31+(0.25/2))</f>
        <v>77.597311585166437</v>
      </c>
      <c r="I32" s="4">
        <f>I11/(1+$G$2)^(I$4-$A31+(0.25/2))</f>
        <v>76.656564258066709</v>
      </c>
      <c r="J32" s="4">
        <f>J11/(1+$G$2)^(J$4-$A31+(0.25/2))</f>
        <v>75.727222036573977</v>
      </c>
      <c r="K32" s="4">
        <f>K11/(1+$G$2)^(K$4-$A31+(0.25/2))</f>
        <v>74.80914665143122</v>
      </c>
      <c r="L32" s="5">
        <f>SUM(D32:K32)</f>
        <v>462.85343165364384</v>
      </c>
    </row>
    <row r="33" spans="1:12" x14ac:dyDescent="0.2">
      <c r="A33">
        <v>0.75</v>
      </c>
      <c r="B33" t="s">
        <v>7</v>
      </c>
      <c r="C33" t="s">
        <v>31</v>
      </c>
      <c r="D33" s="3"/>
      <c r="E33" s="3"/>
      <c r="F33" s="3"/>
      <c r="G33" s="3">
        <f>G12/(1+$G$2)^(G$4-$A33)</f>
        <v>-100</v>
      </c>
      <c r="H33" s="3">
        <f>H12/(1+$G$2)^(H$4-$A33)</f>
        <v>-98.787654742307396</v>
      </c>
      <c r="I33" s="3">
        <f>I12/(1+$G$2)^(I$4-$A33)</f>
        <v>-97.590007294853308</v>
      </c>
      <c r="J33" s="3">
        <f>J12/(1+$G$2)^(J$4-$A33)</f>
        <v>-96.406879469432312</v>
      </c>
      <c r="K33" s="3">
        <f>K12/(1+$G$2)^(K$4-$A33)</f>
        <v>-95.238095238095241</v>
      </c>
      <c r="L33" s="5">
        <f>SUM(D33:K33)</f>
        <v>-488.02263674468821</v>
      </c>
    </row>
    <row r="34" spans="1:12" x14ac:dyDescent="0.2">
      <c r="C34" t="s">
        <v>32</v>
      </c>
      <c r="D34" s="4"/>
      <c r="E34" s="4"/>
      <c r="F34" s="4"/>
      <c r="G34" s="4">
        <f>G13/(1+$G$2)^(G$4-$A33+(0.25/2))</f>
        <v>79.51358313840268</v>
      </c>
      <c r="H34" s="4">
        <f>H13/(1+$G$2)^(H$4-$A33+(0.25/2))</f>
        <v>78.5496039840028</v>
      </c>
      <c r="I34" s="4">
        <f>I13/(1+$G$2)^(I$4-$A33+(0.25/2))</f>
        <v>77.597311585166437</v>
      </c>
      <c r="J34" s="4">
        <f>J13/(1+$G$2)^(J$4-$A33+(0.25/2))</f>
        <v>76.656564258066709</v>
      </c>
      <c r="K34" s="4">
        <f>K13/(1+$G$2)^(K$4-$A33+(0.25/2))</f>
        <v>75.727222036573977</v>
      </c>
      <c r="L34" s="5">
        <f>SUM(D34:K34)</f>
        <v>388.04428500221263</v>
      </c>
    </row>
    <row r="35" spans="1:12" x14ac:dyDescent="0.2">
      <c r="A35">
        <v>1</v>
      </c>
      <c r="B35" t="s">
        <v>8</v>
      </c>
      <c r="C35" t="s">
        <v>31</v>
      </c>
      <c r="D35" s="3"/>
      <c r="E35" s="3"/>
      <c r="F35" s="3"/>
      <c r="G35" s="3"/>
      <c r="H35" s="3">
        <f>H14/(1+$G$2)^(H$4-$A35)</f>
        <v>-100</v>
      </c>
      <c r="I35" s="3">
        <f>I14/(1+$G$2)^(I$4-$A35)</f>
        <v>-98.787654742307396</v>
      </c>
      <c r="J35" s="3">
        <f>J14/(1+$G$2)^(J$4-$A35)</f>
        <v>-97.590007294853308</v>
      </c>
      <c r="K35" s="3">
        <f>K14/(1+$G$2)^(K$4-$A35)</f>
        <v>-96.406879469432312</v>
      </c>
      <c r="L35" s="5">
        <f>SUM(D35:K35)</f>
        <v>-392.78454150659297</v>
      </c>
    </row>
    <row r="36" spans="1:12" x14ac:dyDescent="0.2">
      <c r="C36" t="s">
        <v>32</v>
      </c>
      <c r="D36" s="4"/>
      <c r="E36" s="4"/>
      <c r="F36" s="4"/>
      <c r="G36" s="4"/>
      <c r="H36" s="4">
        <f>H15/(1+$G$2)^(H$4-$A35+(0.25/2))</f>
        <v>79.51358313840268</v>
      </c>
      <c r="I36" s="4">
        <f>I15/(1+$G$2)^(I$4-$A35+(0.25/2))</f>
        <v>78.5496039840028</v>
      </c>
      <c r="J36" s="4">
        <f>J15/(1+$G$2)^(J$4-$A35+(0.25/2))</f>
        <v>77.597311585166437</v>
      </c>
      <c r="K36" s="4">
        <f>K15/(1+$G$2)^(K$4-$A35+(0.25/2))</f>
        <v>76.656564258066709</v>
      </c>
      <c r="L36" s="5">
        <f>SUM(D36:K36)</f>
        <v>312.31706296563863</v>
      </c>
    </row>
    <row r="37" spans="1:12" x14ac:dyDescent="0.2">
      <c r="A37">
        <v>1.25</v>
      </c>
      <c r="B37" t="s">
        <v>9</v>
      </c>
      <c r="C37" t="s">
        <v>31</v>
      </c>
      <c r="D37" s="3"/>
      <c r="E37" s="3"/>
      <c r="F37" s="3"/>
      <c r="G37" s="3"/>
      <c r="H37" s="3"/>
      <c r="I37" s="3">
        <f>I16/(1+$G$2)^(I$4-$A37)</f>
        <v>-100</v>
      </c>
      <c r="J37" s="3">
        <f>J16/(1+$G$2)^(J$4-$A37)</f>
        <v>-98.787654742307396</v>
      </c>
      <c r="K37" s="3">
        <f>K16/(1+$G$2)^(K$4-$A37)</f>
        <v>-97.590007294853308</v>
      </c>
      <c r="L37" s="5">
        <f>SUM(D37:K37)</f>
        <v>-296.37766203716069</v>
      </c>
    </row>
    <row r="38" spans="1:12" x14ac:dyDescent="0.2">
      <c r="C38" t="s">
        <v>32</v>
      </c>
      <c r="D38" s="4"/>
      <c r="E38" s="4"/>
      <c r="F38" s="4"/>
      <c r="G38" s="4"/>
      <c r="H38" s="4"/>
      <c r="I38" s="4">
        <f>I17/(1+$G$2)^(I$4-$A37+(0.25/2))</f>
        <v>79.51358313840268</v>
      </c>
      <c r="J38" s="4">
        <f>J17/(1+$G$2)^(J$4-$A37+(0.25/2))</f>
        <v>78.5496039840028</v>
      </c>
      <c r="K38" s="4">
        <f>K17/(1+$G$2)^(K$4-$A37+(0.25/2))</f>
        <v>77.597311585166437</v>
      </c>
      <c r="L38" s="5">
        <f>SUM(D38:K38)</f>
        <v>235.66049870757192</v>
      </c>
    </row>
    <row r="39" spans="1:12" x14ac:dyDescent="0.2">
      <c r="A39">
        <v>1.5</v>
      </c>
      <c r="B39" t="s">
        <v>10</v>
      </c>
      <c r="C39" t="s">
        <v>31</v>
      </c>
      <c r="D39" s="3"/>
      <c r="E39" s="3"/>
      <c r="F39" s="3"/>
      <c r="G39" s="3"/>
      <c r="H39" s="3"/>
      <c r="I39" s="3"/>
      <c r="J39" s="3">
        <f>J18/(1+$G$2)^(J$4-$A39)</f>
        <v>-100</v>
      </c>
      <c r="K39" s="3">
        <f>K18/(1+$G$2)^(K$4-$A39)</f>
        <v>-98.787654742307396</v>
      </c>
      <c r="L39" s="5">
        <f>SUM(D39:K39)</f>
        <v>-198.78765474230738</v>
      </c>
    </row>
    <row r="40" spans="1:12" x14ac:dyDescent="0.2">
      <c r="C40" t="s">
        <v>32</v>
      </c>
      <c r="D40" s="4"/>
      <c r="E40" s="4"/>
      <c r="F40" s="4"/>
      <c r="G40" s="4"/>
      <c r="H40" s="4"/>
      <c r="I40" s="4"/>
      <c r="J40" s="4">
        <f>J19/(1+$G$2)^(J$4-$A39+(0.25/2))</f>
        <v>79.51358313840268</v>
      </c>
      <c r="K40" s="4">
        <f>K19/(1+$G$2)^(K$4-$A39+(0.25/2))</f>
        <v>78.5496039840028</v>
      </c>
      <c r="L40" s="5">
        <f>SUM(D40:K40)</f>
        <v>158.06318712240548</v>
      </c>
    </row>
    <row r="41" spans="1:12" x14ac:dyDescent="0.2">
      <c r="A41">
        <v>1.75</v>
      </c>
      <c r="B41" t="s">
        <v>11</v>
      </c>
      <c r="C41" t="s">
        <v>31</v>
      </c>
      <c r="D41" s="3"/>
      <c r="E41" s="3"/>
      <c r="F41" s="3"/>
      <c r="G41" s="3"/>
      <c r="H41" s="3"/>
      <c r="I41" s="3"/>
      <c r="J41" s="3"/>
      <c r="K41" s="3">
        <f>K20/(1+$G$2)^(K$4-$A41)</f>
        <v>-100</v>
      </c>
      <c r="L41" s="5">
        <f>SUM(D41:K41)</f>
        <v>-100</v>
      </c>
    </row>
    <row r="42" spans="1:12" x14ac:dyDescent="0.2">
      <c r="C42" t="s">
        <v>32</v>
      </c>
      <c r="D42" s="4"/>
      <c r="E42" s="4"/>
      <c r="F42" s="4"/>
      <c r="G42" s="4"/>
      <c r="H42" s="4"/>
      <c r="I42" s="4"/>
      <c r="J42" s="4"/>
      <c r="K42" s="4">
        <f>K21/(1+$G$2)^(K$4-$A41+(0.25/2))</f>
        <v>79.51358313840268</v>
      </c>
      <c r="L42" s="5">
        <f>SUM(D42:K42)</f>
        <v>79.51358313840268</v>
      </c>
    </row>
    <row r="43" spans="1:12" x14ac:dyDescent="0.2">
      <c r="A43">
        <v>2</v>
      </c>
      <c r="B43" t="s">
        <v>15</v>
      </c>
      <c r="C43" t="s">
        <v>31</v>
      </c>
      <c r="D43" s="3"/>
      <c r="E43" s="3"/>
      <c r="F43" s="3"/>
      <c r="G43" s="3"/>
      <c r="H43" s="3"/>
      <c r="I43" s="3"/>
      <c r="J43" s="3"/>
      <c r="K43" s="3"/>
      <c r="L43" s="5">
        <f>SUM(D43:K43)</f>
        <v>0</v>
      </c>
    </row>
    <row r="44" spans="1:12" x14ac:dyDescent="0.2">
      <c r="C44" t="s">
        <v>32</v>
      </c>
      <c r="D44" s="4"/>
      <c r="E44" s="4"/>
      <c r="F44" s="4"/>
      <c r="G44" s="4"/>
      <c r="H44" s="4"/>
      <c r="I44" s="4"/>
      <c r="J44" s="4"/>
      <c r="K44" s="4"/>
      <c r="L44" s="5">
        <f>SUM(D44:K44)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33FEB-BF5B-4046-8A52-B4322A8580F4}">
  <dimension ref="A2:Q43"/>
  <sheetViews>
    <sheetView tabSelected="1" topLeftCell="H1" zoomScale="80" zoomScaleNormal="80" workbookViewId="0">
      <selection activeCell="N28" sqref="N28"/>
    </sheetView>
  </sheetViews>
  <sheetFormatPr baseColWidth="10" defaultRowHeight="16" x14ac:dyDescent="0.2"/>
  <cols>
    <col min="2" max="2" width="22" customWidth="1"/>
    <col min="3" max="3" width="18" bestFit="1" customWidth="1"/>
    <col min="4" max="4" width="21.1640625" customWidth="1"/>
    <col min="5" max="5" width="21.83203125" bestFit="1" customWidth="1"/>
    <col min="9" max="10" width="19" customWidth="1"/>
    <col min="11" max="11" width="13.6640625" bestFit="1" customWidth="1"/>
  </cols>
  <sheetData>
    <row r="2" spans="1:12" x14ac:dyDescent="0.2">
      <c r="C2" s="1">
        <v>0</v>
      </c>
    </row>
    <row r="3" spans="1:12" x14ac:dyDescent="0.2">
      <c r="B3" t="s">
        <v>0</v>
      </c>
    </row>
    <row r="5" spans="1:12" x14ac:dyDescent="0.2">
      <c r="B5" t="s">
        <v>2</v>
      </c>
      <c r="C5" t="s">
        <v>3</v>
      </c>
      <c r="D5" t="s">
        <v>4</v>
      </c>
      <c r="E5" t="s">
        <v>5</v>
      </c>
      <c r="I5" t="s">
        <v>17</v>
      </c>
      <c r="K5" t="s">
        <v>18</v>
      </c>
      <c r="L5" t="s">
        <v>19</v>
      </c>
    </row>
    <row r="6" spans="1:12" x14ac:dyDescent="0.2">
      <c r="A6" t="s">
        <v>1</v>
      </c>
      <c r="B6">
        <v>1000</v>
      </c>
      <c r="C6">
        <f>B6/(1+$C$2)</f>
        <v>1000</v>
      </c>
      <c r="D6">
        <f>SUM(C6:$C$20)</f>
        <v>8000</v>
      </c>
      <c r="E6" s="2">
        <f>C6/D6</f>
        <v>0.125</v>
      </c>
      <c r="I6">
        <v>160</v>
      </c>
      <c r="K6">
        <f>I6*E6</f>
        <v>20</v>
      </c>
      <c r="L6">
        <f>I6-K6</f>
        <v>140</v>
      </c>
    </row>
    <row r="8" spans="1:12" x14ac:dyDescent="0.2">
      <c r="A8" t="s">
        <v>6</v>
      </c>
      <c r="B8">
        <v>1000</v>
      </c>
      <c r="C8">
        <f>B8/(1+$C$2)</f>
        <v>1000</v>
      </c>
      <c r="D8">
        <f>SUM(C8:$C$20)</f>
        <v>7000</v>
      </c>
      <c r="E8" s="2">
        <f>C8/D8</f>
        <v>0.14285714285714285</v>
      </c>
      <c r="I8">
        <f>L6</f>
        <v>140</v>
      </c>
      <c r="K8">
        <f>I8*E8</f>
        <v>20</v>
      </c>
      <c r="L8">
        <f>I8-K8</f>
        <v>120</v>
      </c>
    </row>
    <row r="10" spans="1:12" x14ac:dyDescent="0.2">
      <c r="A10" t="s">
        <v>7</v>
      </c>
      <c r="B10">
        <v>1000</v>
      </c>
      <c r="C10">
        <f>B10/(1+$C$2)</f>
        <v>1000</v>
      </c>
      <c r="D10">
        <f>SUM(C10:$C$20)</f>
        <v>6000</v>
      </c>
      <c r="E10" s="2">
        <f>C10/D10</f>
        <v>0.16666666666666666</v>
      </c>
      <c r="I10">
        <f>L8</f>
        <v>120</v>
      </c>
      <c r="K10">
        <f>I10*E10</f>
        <v>20</v>
      </c>
      <c r="L10">
        <f>I10-K10</f>
        <v>100</v>
      </c>
    </row>
    <row r="12" spans="1:12" x14ac:dyDescent="0.2">
      <c r="A12" t="s">
        <v>8</v>
      </c>
      <c r="B12">
        <v>1000</v>
      </c>
      <c r="C12">
        <f>B12/(1+$C$2)</f>
        <v>1000</v>
      </c>
      <c r="D12">
        <f>SUM(C12:$C$20)</f>
        <v>5000</v>
      </c>
      <c r="E12" s="2">
        <f>C12/D12</f>
        <v>0.2</v>
      </c>
      <c r="I12">
        <f>L10</f>
        <v>100</v>
      </c>
      <c r="K12">
        <f>I12*E12</f>
        <v>20</v>
      </c>
      <c r="L12">
        <f>I12-K12</f>
        <v>80</v>
      </c>
    </row>
    <row r="14" spans="1:12" x14ac:dyDescent="0.2">
      <c r="A14" t="s">
        <v>9</v>
      </c>
      <c r="B14">
        <v>1000</v>
      </c>
      <c r="C14">
        <f>B14/(1+$C$2)</f>
        <v>1000</v>
      </c>
      <c r="D14">
        <f>SUM(C14:$C$20)</f>
        <v>4000</v>
      </c>
      <c r="E14" s="2">
        <f>C14/D14</f>
        <v>0.25</v>
      </c>
      <c r="I14">
        <f>L12</f>
        <v>80</v>
      </c>
      <c r="K14">
        <f>I14*E14</f>
        <v>20</v>
      </c>
      <c r="L14">
        <f>I14-K14</f>
        <v>60</v>
      </c>
    </row>
    <row r="16" spans="1:12" x14ac:dyDescent="0.2">
      <c r="A16" t="s">
        <v>10</v>
      </c>
      <c r="B16">
        <v>1000</v>
      </c>
      <c r="C16">
        <f>B16/(1+$C$2)</f>
        <v>1000</v>
      </c>
      <c r="D16">
        <f>SUM(C16:$C$20)</f>
        <v>3000</v>
      </c>
      <c r="E16" s="2">
        <f>C16/D16</f>
        <v>0.33333333333333331</v>
      </c>
      <c r="I16">
        <f>L14</f>
        <v>60</v>
      </c>
      <c r="K16">
        <f>I16*E16</f>
        <v>20</v>
      </c>
      <c r="L16">
        <f>I16-K16</f>
        <v>40</v>
      </c>
    </row>
    <row r="18" spans="1:17" x14ac:dyDescent="0.2">
      <c r="A18" t="s">
        <v>11</v>
      </c>
      <c r="B18">
        <v>1000</v>
      </c>
      <c r="C18">
        <f>B18/(1+$C$2)</f>
        <v>1000</v>
      </c>
      <c r="D18">
        <f>SUM(C18:$C$20)</f>
        <v>2000</v>
      </c>
      <c r="E18" s="2">
        <f>C18/D18</f>
        <v>0.5</v>
      </c>
      <c r="I18">
        <f>L16</f>
        <v>40</v>
      </c>
      <c r="K18">
        <f>I18*E18</f>
        <v>20</v>
      </c>
      <c r="L18">
        <f>I18-K18</f>
        <v>20</v>
      </c>
    </row>
    <row r="20" spans="1:17" x14ac:dyDescent="0.2">
      <c r="A20" t="s">
        <v>12</v>
      </c>
      <c r="B20">
        <v>1000</v>
      </c>
      <c r="C20">
        <f>B20/(1+$C$2)</f>
        <v>1000</v>
      </c>
      <c r="D20">
        <f>SUM(C20:$C$20)</f>
        <v>1000</v>
      </c>
      <c r="E20" s="2">
        <f>C20/D20</f>
        <v>1</v>
      </c>
      <c r="I20">
        <f>L18</f>
        <v>20</v>
      </c>
      <c r="K20">
        <f>I20*E20</f>
        <v>20</v>
      </c>
      <c r="L20">
        <f>I20-K20</f>
        <v>0</v>
      </c>
    </row>
    <row r="23" spans="1:17" x14ac:dyDescent="0.2">
      <c r="C23" s="1">
        <v>0.05</v>
      </c>
    </row>
    <row r="24" spans="1:17" x14ac:dyDescent="0.2">
      <c r="B24" t="s">
        <v>0</v>
      </c>
      <c r="I24" t="s">
        <v>17</v>
      </c>
      <c r="J24" t="s">
        <v>43</v>
      </c>
      <c r="K24" t="s">
        <v>44</v>
      </c>
      <c r="L24" t="s">
        <v>18</v>
      </c>
      <c r="M24" t="s">
        <v>19</v>
      </c>
    </row>
    <row r="25" spans="1:17" x14ac:dyDescent="0.2">
      <c r="C25" t="s">
        <v>13</v>
      </c>
      <c r="D25" t="s">
        <v>14</v>
      </c>
      <c r="E25" t="s">
        <v>16</v>
      </c>
      <c r="I25" s="6">
        <f>-'GMM FCF Calc'!L6</f>
        <v>157.10317238948221</v>
      </c>
      <c r="J25" s="6"/>
      <c r="L25" s="4"/>
      <c r="M25" s="4"/>
    </row>
    <row r="26" spans="1:17" x14ac:dyDescent="0.2">
      <c r="B26" t="s">
        <v>2</v>
      </c>
      <c r="C26" t="s">
        <v>3</v>
      </c>
      <c r="D26" t="s">
        <v>4</v>
      </c>
      <c r="E26" t="s">
        <v>5</v>
      </c>
      <c r="N26" s="5"/>
    </row>
    <row r="27" spans="1:17" x14ac:dyDescent="0.2">
      <c r="A27" t="s">
        <v>1</v>
      </c>
      <c r="B27">
        <v>1000</v>
      </c>
      <c r="C27" s="3">
        <f>B27/(1+$C$23)^G27</f>
        <v>1000</v>
      </c>
      <c r="D27" s="3">
        <f>SUM(C27:$C$41)</f>
        <v>7668.6505722715783</v>
      </c>
      <c r="E27" s="2">
        <f>B27/D27</f>
        <v>0.1304010386932761</v>
      </c>
      <c r="G27">
        <v>0</v>
      </c>
      <c r="I27" s="5">
        <f>I25</f>
        <v>157.10317238948221</v>
      </c>
      <c r="J27" s="5">
        <f>I27*$C$23/4</f>
        <v>1.9637896548685276</v>
      </c>
      <c r="L27" s="4">
        <f>SUM(I27:K27)*E27</f>
        <v>20.742497072367261</v>
      </c>
      <c r="M27" s="4">
        <f>MAX(I27-L27,0)</f>
        <v>136.36067531711495</v>
      </c>
      <c r="N27" t="s">
        <v>45</v>
      </c>
      <c r="O27" s="5"/>
      <c r="P27" s="5"/>
      <c r="Q27" s="5"/>
    </row>
    <row r="28" spans="1:17" x14ac:dyDescent="0.2">
      <c r="C28" s="3"/>
      <c r="D28" s="3"/>
    </row>
    <row r="29" spans="1:17" x14ac:dyDescent="0.2">
      <c r="A29" t="s">
        <v>6</v>
      </c>
      <c r="B29">
        <v>1000</v>
      </c>
      <c r="C29" s="3">
        <f>B29/(1+$C$23)^G29</f>
        <v>987.87654742307404</v>
      </c>
      <c r="D29" s="3">
        <f>SUM(C29:$C$41)*(1+$C$23)^G29</f>
        <v>6750.4898154198427</v>
      </c>
      <c r="E29" s="2">
        <f>B29/D29</f>
        <v>0.14813739852117763</v>
      </c>
      <c r="G29">
        <v>0.25</v>
      </c>
      <c r="I29" s="5">
        <f>M27</f>
        <v>136.36067531711495</v>
      </c>
      <c r="J29" s="5">
        <f>I29*$C$23/4</f>
        <v>1.7045084414639371</v>
      </c>
      <c r="L29" s="4">
        <f>SUM(I29:K29)*E29</f>
        <v>20.452617148344221</v>
      </c>
      <c r="M29" s="4">
        <f>MAX(I29-L29,0)</f>
        <v>115.90805816877074</v>
      </c>
      <c r="N29" s="5"/>
      <c r="O29" s="5"/>
    </row>
    <row r="30" spans="1:17" x14ac:dyDescent="0.2">
      <c r="C30" s="3"/>
      <c r="D30" s="3"/>
    </row>
    <row r="31" spans="1:17" x14ac:dyDescent="0.2">
      <c r="A31" t="s">
        <v>7</v>
      </c>
      <c r="B31">
        <v>1000</v>
      </c>
      <c r="C31" s="3">
        <f>B31/(1+$C$23)^G31</f>
        <v>975.90007294853308</v>
      </c>
      <c r="D31" s="3">
        <f>SUM(C31:$C$41)*(1+$C$23)^G31</f>
        <v>5821.0611745164779</v>
      </c>
      <c r="E31" s="2">
        <f>B31/D31</f>
        <v>0.17178998296355549</v>
      </c>
      <c r="G31">
        <v>0.5</v>
      </c>
      <c r="I31" s="5">
        <f>M29</f>
        <v>115.90805816877074</v>
      </c>
      <c r="J31" s="5">
        <f>I31*$C$23/4</f>
        <v>1.4488507271096343</v>
      </c>
      <c r="L31" s="4">
        <f>SUM(I31:K31)*E31</f>
        <v>20.160741379878822</v>
      </c>
      <c r="M31" s="4">
        <f>MAX(I31-L31,0)</f>
        <v>95.747316788891908</v>
      </c>
      <c r="N31" s="5"/>
      <c r="O31" s="5"/>
    </row>
    <row r="32" spans="1:17" x14ac:dyDescent="0.2">
      <c r="C32" s="3"/>
      <c r="D32" s="3"/>
    </row>
    <row r="33" spans="1:15" x14ac:dyDescent="0.2">
      <c r="A33" t="s">
        <v>8</v>
      </c>
      <c r="B33">
        <v>1000</v>
      </c>
      <c r="C33" s="3">
        <f>B33/(1+$C$23)^G33</f>
        <v>964.06879469432317</v>
      </c>
      <c r="D33" s="3">
        <f>SUM(C33:$C$41)*(1+$C$23)^G33</f>
        <v>4880.2263674468823</v>
      </c>
      <c r="E33" s="2">
        <f>B33/D33</f>
        <v>0.20490852774174809</v>
      </c>
      <c r="G33">
        <v>0.75</v>
      </c>
      <c r="I33" s="5">
        <f>M31</f>
        <v>95.747316788891908</v>
      </c>
      <c r="J33" s="5">
        <f>I33*$C$23/4</f>
        <v>1.196841459861149</v>
      </c>
      <c r="L33" s="4">
        <f>SUM(I33:K33)*E33</f>
        <v>19.864684739915031</v>
      </c>
      <c r="M33" s="4">
        <f>MAX(I33-L33,0)</f>
        <v>75.882632048976873</v>
      </c>
      <c r="O33" s="5"/>
    </row>
    <row r="34" spans="1:15" x14ac:dyDescent="0.2">
      <c r="C34" s="3"/>
      <c r="D34" s="3"/>
    </row>
    <row r="35" spans="1:15" x14ac:dyDescent="0.2">
      <c r="A35" t="s">
        <v>9</v>
      </c>
      <c r="B35">
        <v>1000</v>
      </c>
      <c r="C35" s="3">
        <f>B35/(1+$C$23)^G35</f>
        <v>952.38095238095229</v>
      </c>
      <c r="D35" s="3">
        <f>SUM(C35:$C$41)*(1+$C$23)^G35</f>
        <v>3927.84541506593</v>
      </c>
      <c r="E35" s="2">
        <f>B35/D35</f>
        <v>0.25459250411544382</v>
      </c>
      <c r="G35">
        <v>1</v>
      </c>
      <c r="I35" s="5">
        <f>M33</f>
        <v>75.882632048976873</v>
      </c>
      <c r="J35" s="5">
        <f>I35*$C$23/4</f>
        <v>0.94853290061221096</v>
      </c>
      <c r="L35" s="4">
        <f>SUM(I35:K35)*E35</f>
        <v>19.560638678622603</v>
      </c>
      <c r="M35" s="4">
        <f>MAX(I35-L35,0)</f>
        <v>56.321993370354271</v>
      </c>
      <c r="O35" s="5"/>
    </row>
    <row r="36" spans="1:15" x14ac:dyDescent="0.2">
      <c r="C36" s="3"/>
      <c r="D36" s="3"/>
    </row>
    <row r="37" spans="1:15" x14ac:dyDescent="0.2">
      <c r="A37" t="s">
        <v>10</v>
      </c>
      <c r="B37">
        <v>1000</v>
      </c>
      <c r="C37" s="3">
        <f>B37/(1+$C$23)^G37</f>
        <v>940.83480706959426</v>
      </c>
      <c r="D37" s="3">
        <f>SUM(C37:$C$41)*(1+$C$23)^G37</f>
        <v>2963.7766203716069</v>
      </c>
      <c r="E37" s="2">
        <f>B37/D37</f>
        <v>0.33740734477978879</v>
      </c>
      <c r="G37">
        <v>1.25</v>
      </c>
      <c r="I37" s="5">
        <f>M35</f>
        <v>56.321993370354271</v>
      </c>
      <c r="J37" s="5">
        <f>I37*$C$23/4</f>
        <v>0.70402491712942838</v>
      </c>
      <c r="L37" s="4">
        <f>SUM(I37:K37)*E37</f>
        <v>19.240997413743553</v>
      </c>
      <c r="M37" s="4">
        <f>MAX(I37-L37,0)</f>
        <v>37.080995956610721</v>
      </c>
      <c r="O37" s="5"/>
    </row>
    <row r="38" spans="1:15" x14ac:dyDescent="0.2">
      <c r="C38" s="3"/>
      <c r="D38" s="3"/>
    </row>
    <row r="39" spans="1:15" x14ac:dyDescent="0.2">
      <c r="A39" t="s">
        <v>11</v>
      </c>
      <c r="B39">
        <v>1000</v>
      </c>
      <c r="C39" s="3">
        <f>B39/(1+$C$23)^G39</f>
        <v>929.42864090336491</v>
      </c>
      <c r="D39" s="3">
        <f>SUM(C39:$C$41)*(1+$C$23)^G39</f>
        <v>1987.8765474230743</v>
      </c>
      <c r="E39" s="2">
        <f>B39/D39</f>
        <v>0.5030493474538551</v>
      </c>
      <c r="G39">
        <v>1.5</v>
      </c>
      <c r="I39" s="5">
        <f>M37</f>
        <v>37.080995956610721</v>
      </c>
      <c r="J39" s="5">
        <f>I39*$C$23/4</f>
        <v>0.46351244945763403</v>
      </c>
      <c r="L39" s="4">
        <f>SUM(I39:K39)*E39</f>
        <v>18.886740454148462</v>
      </c>
      <c r="M39" s="4">
        <f>MAX(I39-L39,0)</f>
        <v>18.194255502462259</v>
      </c>
      <c r="O39" s="5"/>
    </row>
    <row r="40" spans="1:15" x14ac:dyDescent="0.2">
      <c r="C40" s="3"/>
      <c r="D40" s="3"/>
    </row>
    <row r="41" spans="1:15" x14ac:dyDescent="0.2">
      <c r="A41" t="s">
        <v>15</v>
      </c>
      <c r="B41">
        <v>1000</v>
      </c>
      <c r="C41" s="3">
        <f>B41/(1+$C$23)^G41</f>
        <v>918.16075685173632</v>
      </c>
      <c r="D41" s="3">
        <f>SUM(C41:$C$41)*(1+$C$23)^G41</f>
        <v>1000</v>
      </c>
      <c r="E41" s="2">
        <f>B41/D41</f>
        <v>1</v>
      </c>
      <c r="G41">
        <v>1.75</v>
      </c>
      <c r="I41" s="5">
        <f>M39</f>
        <v>18.194255502462259</v>
      </c>
      <c r="J41" s="5">
        <f>I41*$C$23/4</f>
        <v>0.22742819378077825</v>
      </c>
      <c r="L41" s="4">
        <f>SUM(I41:K41)*E41</f>
        <v>18.421683696243036</v>
      </c>
      <c r="M41" s="4">
        <f>MAX(I41-L41,0)</f>
        <v>0</v>
      </c>
      <c r="O41" s="5"/>
    </row>
    <row r="43" spans="1:15" x14ac:dyDescent="0.2">
      <c r="G43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GMM FCF Calc</vt:lpstr>
      <vt:lpstr>CSM Amortization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Office</cp:lastModifiedBy>
  <dcterms:created xsi:type="dcterms:W3CDTF">2024-10-07T09:33:19Z</dcterms:created>
  <dcterms:modified xsi:type="dcterms:W3CDTF">2024-10-07T11:03:08Z</dcterms:modified>
</cp:coreProperties>
</file>